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995" tabRatio="805" activeTab="0"/>
  </bookViews>
  <sheets>
    <sheet name="下水道使用料(10％)(2か月分)" sheetId="1" r:id="rId1"/>
  </sheets>
  <definedNames/>
  <calcPr fullCalcOnLoad="1"/>
</workbook>
</file>

<file path=xl/sharedStrings.xml><?xml version="1.0" encoding="utf-8"?>
<sst xmlns="http://schemas.openxmlformats.org/spreadsheetml/2006/main" count="116" uniqueCount="33">
  <si>
    <t>水量</t>
  </si>
  <si>
    <t>基本使用料</t>
  </si>
  <si>
    <t>１～１０</t>
  </si>
  <si>
    <t>１１～２０</t>
  </si>
  <si>
    <t>２１～３０</t>
  </si>
  <si>
    <t>３１～４０</t>
  </si>
  <si>
    <t>４１～５０</t>
  </si>
  <si>
    <t>１０１～</t>
  </si>
  <si>
    <t>合計</t>
  </si>
  <si>
    <t>請求金額</t>
  </si>
  <si>
    <t>割水量</t>
  </si>
  <si>
    <t>５１～１００</t>
  </si>
  <si>
    <t>㎥</t>
  </si>
  <si>
    <t>現行</t>
  </si>
  <si>
    <t>※割水量は、前期分が切り捨てで、後期分に端数を加えた水量で計算</t>
  </si>
  <si>
    <t>※現行からの増額分</t>
  </si>
  <si>
    <t>※直近改定からの増額分</t>
  </si>
  <si>
    <t>↓2か月分の使用水量を入力してください。(検針お知らせ票１回当たりの使用水量)</t>
  </si>
  <si>
    <t>※下の表は、下水道使用料(２か月分)のみの算定額になります。　水道料金は別途かかります。</t>
  </si>
  <si>
    <t>公共下水道使用料算定シート</t>
  </si>
  <si>
    <t>(消費税10％込み)</t>
  </si>
  <si>
    <t>Ｒ６年５月検針分から</t>
  </si>
  <si>
    <t>Ｒ７年５月検針分から</t>
  </si>
  <si>
    <t>Ｒ９年５月検針分から</t>
  </si>
  <si>
    <t>Ｒ６年５月検針分から</t>
  </si>
  <si>
    <t>Ｒ７年５月検針分から</t>
  </si>
  <si>
    <t>Ｒ９年５月検針分から</t>
  </si>
  <si>
    <t>使用料</t>
  </si>
  <si>
    <t>使用料</t>
  </si>
  <si>
    <t>使用料</t>
  </si>
  <si>
    <t>使用料</t>
  </si>
  <si>
    <t>うち消費税額</t>
  </si>
  <si>
    <t>うち消費税額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</si>
</sst>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&quot;円&quot;"/>
    <numFmt numFmtId="180" formatCode="#,##0.##&quot;倍&quot;"/>
    <numFmt numFmtId="181" formatCode="#,##0.##&quot;％&quot;"/>
    <numFmt numFmtId="182" formatCode="\(#,##0.##&quot;％&quot;\)"/>
    <numFmt numFmtId="183" formatCode="\(#,##0.##&quot;倍&quot;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4" borderId="0" xfId="0" applyFont="1" applyFill="1" applyBorder="1" applyAlignment="1">
      <alignment shrinkToFit="1"/>
    </xf>
    <xf numFmtId="0" fontId="3" fillId="0" borderId="0" xfId="0" applyFont="1" applyAlignment="1">
      <alignment shrinkToFit="1"/>
    </xf>
    <xf numFmtId="0" fontId="3" fillId="5" borderId="0" xfId="0" applyFont="1" applyFill="1" applyBorder="1" applyAlignment="1">
      <alignment shrinkToFit="1"/>
    </xf>
    <xf numFmtId="0" fontId="3" fillId="6" borderId="0" xfId="0" applyFont="1" applyFill="1" applyBorder="1" applyAlignment="1">
      <alignment shrinkToFit="1"/>
    </xf>
    <xf numFmtId="0" fontId="3" fillId="7" borderId="0" xfId="0" applyFont="1" applyFill="1" applyBorder="1" applyAlignment="1">
      <alignment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shrinkToFit="1"/>
    </xf>
    <xf numFmtId="176" fontId="3" fillId="4" borderId="10" xfId="0" applyNumberFormat="1" applyFont="1" applyFill="1" applyBorder="1" applyAlignment="1">
      <alignment vertical="center" shrinkToFit="1"/>
    </xf>
    <xf numFmtId="176" fontId="3" fillId="4" borderId="10" xfId="0" applyNumberFormat="1" applyFont="1" applyFill="1" applyBorder="1" applyAlignment="1">
      <alignment shrinkToFit="1"/>
    </xf>
    <xf numFmtId="0" fontId="3" fillId="5" borderId="10" xfId="0" applyFont="1" applyFill="1" applyBorder="1" applyAlignment="1">
      <alignment horizontal="center" vertical="center" shrinkToFit="1"/>
    </xf>
    <xf numFmtId="176" fontId="3" fillId="5" borderId="10" xfId="0" applyNumberFormat="1" applyFont="1" applyFill="1" applyBorder="1" applyAlignment="1">
      <alignment vertical="center" shrinkToFit="1"/>
    </xf>
    <xf numFmtId="0" fontId="3" fillId="5" borderId="10" xfId="0" applyFont="1" applyFill="1" applyBorder="1" applyAlignment="1">
      <alignment shrinkToFit="1"/>
    </xf>
    <xf numFmtId="176" fontId="3" fillId="5" borderId="10" xfId="0" applyNumberFormat="1" applyFont="1" applyFill="1" applyBorder="1" applyAlignment="1">
      <alignment shrinkToFit="1"/>
    </xf>
    <xf numFmtId="0" fontId="3" fillId="6" borderId="10" xfId="0" applyFont="1" applyFill="1" applyBorder="1" applyAlignment="1">
      <alignment horizontal="center" vertical="center" shrinkToFit="1"/>
    </xf>
    <xf numFmtId="176" fontId="3" fillId="6" borderId="10" xfId="0" applyNumberFormat="1" applyFont="1" applyFill="1" applyBorder="1" applyAlignment="1">
      <alignment vertical="center" shrinkToFit="1"/>
    </xf>
    <xf numFmtId="176" fontId="3" fillId="6" borderId="10" xfId="0" applyNumberFormat="1" applyFont="1" applyFill="1" applyBorder="1" applyAlignment="1">
      <alignment shrinkToFit="1"/>
    </xf>
    <xf numFmtId="0" fontId="3" fillId="6" borderId="10" xfId="0" applyFont="1" applyFill="1" applyBorder="1" applyAlignment="1">
      <alignment shrinkToFit="1"/>
    </xf>
    <xf numFmtId="0" fontId="3" fillId="7" borderId="10" xfId="0" applyFont="1" applyFill="1" applyBorder="1" applyAlignment="1">
      <alignment horizontal="center" vertical="center" shrinkToFit="1"/>
    </xf>
    <xf numFmtId="176" fontId="3" fillId="7" borderId="10" xfId="0" applyNumberFormat="1" applyFont="1" applyFill="1" applyBorder="1" applyAlignment="1">
      <alignment vertical="center" shrinkToFit="1"/>
    </xf>
    <xf numFmtId="0" fontId="3" fillId="7" borderId="10" xfId="0" applyFont="1" applyFill="1" applyBorder="1" applyAlignment="1">
      <alignment shrinkToFit="1"/>
    </xf>
    <xf numFmtId="176" fontId="3" fillId="7" borderId="10" xfId="0" applyNumberFormat="1" applyFont="1" applyFill="1" applyBorder="1" applyAlignment="1">
      <alignment shrinkToFit="1"/>
    </xf>
    <xf numFmtId="0" fontId="3" fillId="4" borderId="11" xfId="0" applyFont="1" applyFill="1" applyBorder="1" applyAlignment="1">
      <alignment shrinkToFit="1"/>
    </xf>
    <xf numFmtId="0" fontId="3" fillId="4" borderId="12" xfId="0" applyFont="1" applyFill="1" applyBorder="1" applyAlignment="1">
      <alignment shrinkToFit="1"/>
    </xf>
    <xf numFmtId="0" fontId="3" fillId="4" borderId="13" xfId="0" applyFont="1" applyFill="1" applyBorder="1" applyAlignment="1">
      <alignment shrinkToFit="1"/>
    </xf>
    <xf numFmtId="0" fontId="3" fillId="4" borderId="14" xfId="0" applyFont="1" applyFill="1" applyBorder="1" applyAlignment="1">
      <alignment shrinkToFit="1"/>
    </xf>
    <xf numFmtId="0" fontId="3" fillId="5" borderId="11" xfId="0" applyFont="1" applyFill="1" applyBorder="1" applyAlignment="1">
      <alignment shrinkToFit="1"/>
    </xf>
    <xf numFmtId="0" fontId="3" fillId="5" borderId="12" xfId="0" applyFont="1" applyFill="1" applyBorder="1" applyAlignment="1">
      <alignment shrinkToFit="1"/>
    </xf>
    <xf numFmtId="0" fontId="3" fillId="5" borderId="13" xfId="0" applyFont="1" applyFill="1" applyBorder="1" applyAlignment="1">
      <alignment shrinkToFit="1"/>
    </xf>
    <xf numFmtId="0" fontId="3" fillId="5" borderId="14" xfId="0" applyFont="1" applyFill="1" applyBorder="1" applyAlignment="1">
      <alignment shrinkToFit="1"/>
    </xf>
    <xf numFmtId="0" fontId="3" fillId="6" borderId="11" xfId="0" applyFont="1" applyFill="1" applyBorder="1" applyAlignment="1">
      <alignment shrinkToFit="1"/>
    </xf>
    <xf numFmtId="0" fontId="3" fillId="6" borderId="12" xfId="0" applyFont="1" applyFill="1" applyBorder="1" applyAlignment="1">
      <alignment shrinkToFit="1"/>
    </xf>
    <xf numFmtId="0" fontId="3" fillId="6" borderId="13" xfId="0" applyFont="1" applyFill="1" applyBorder="1" applyAlignment="1">
      <alignment shrinkToFit="1"/>
    </xf>
    <xf numFmtId="0" fontId="3" fillId="6" borderId="14" xfId="0" applyFont="1" applyFill="1" applyBorder="1" applyAlignment="1">
      <alignment shrinkToFit="1"/>
    </xf>
    <xf numFmtId="0" fontId="3" fillId="7" borderId="11" xfId="0" applyFont="1" applyFill="1" applyBorder="1" applyAlignment="1">
      <alignment shrinkToFit="1"/>
    </xf>
    <xf numFmtId="0" fontId="3" fillId="7" borderId="12" xfId="0" applyFont="1" applyFill="1" applyBorder="1" applyAlignment="1">
      <alignment shrinkToFit="1"/>
    </xf>
    <xf numFmtId="0" fontId="3" fillId="7" borderId="13" xfId="0" applyFont="1" applyFill="1" applyBorder="1" applyAlignment="1">
      <alignment shrinkToFit="1"/>
    </xf>
    <xf numFmtId="0" fontId="3" fillId="7" borderId="14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 vertical="center" indent="5"/>
    </xf>
    <xf numFmtId="179" fontId="3" fillId="6" borderId="15" xfId="0" applyNumberFormat="1" applyFont="1" applyFill="1" applyBorder="1" applyAlignment="1">
      <alignment horizontal="right" vertical="center" indent="5"/>
    </xf>
    <xf numFmtId="179" fontId="3" fillId="6" borderId="16" xfId="0" applyNumberFormat="1" applyFont="1" applyFill="1" applyBorder="1" applyAlignment="1">
      <alignment horizontal="right" vertical="center" indent="5"/>
    </xf>
    <xf numFmtId="179" fontId="3" fillId="6" borderId="17" xfId="0" applyNumberFormat="1" applyFont="1" applyFill="1" applyBorder="1" applyAlignment="1">
      <alignment horizontal="right" vertical="center" indent="5"/>
    </xf>
    <xf numFmtId="179" fontId="3" fillId="6" borderId="18" xfId="0" applyNumberFormat="1" applyFont="1" applyFill="1" applyBorder="1" applyAlignment="1">
      <alignment horizontal="right" vertical="center" indent="5"/>
    </xf>
    <xf numFmtId="179" fontId="3" fillId="0" borderId="0" xfId="0" applyNumberFormat="1" applyFont="1" applyFill="1" applyBorder="1" applyAlignment="1">
      <alignment horizontal="center" vertical="center"/>
    </xf>
    <xf numFmtId="179" fontId="3" fillId="7" borderId="15" xfId="0" applyNumberFormat="1" applyFont="1" applyFill="1" applyBorder="1" applyAlignment="1">
      <alignment horizontal="right" vertical="center" indent="5"/>
    </xf>
    <xf numFmtId="179" fontId="3" fillId="7" borderId="16" xfId="0" applyNumberFormat="1" applyFont="1" applyFill="1" applyBorder="1" applyAlignment="1">
      <alignment horizontal="right" vertical="center" indent="5"/>
    </xf>
    <xf numFmtId="179" fontId="3" fillId="7" borderId="19" xfId="0" applyNumberFormat="1" applyFont="1" applyFill="1" applyBorder="1" applyAlignment="1">
      <alignment horizontal="right" vertical="center" indent="5"/>
    </xf>
    <xf numFmtId="179" fontId="5" fillId="0" borderId="20" xfId="0" applyNumberFormat="1" applyFont="1" applyFill="1" applyBorder="1" applyAlignment="1">
      <alignment horizontal="center" vertical="center"/>
    </xf>
    <xf numFmtId="179" fontId="3" fillId="5" borderId="15" xfId="0" applyNumberFormat="1" applyFont="1" applyFill="1" applyBorder="1" applyAlignment="1">
      <alignment horizontal="right" vertical="center" indent="5"/>
    </xf>
    <xf numFmtId="179" fontId="3" fillId="5" borderId="16" xfId="0" applyNumberFormat="1" applyFont="1" applyFill="1" applyBorder="1" applyAlignment="1">
      <alignment horizontal="right" vertical="center" indent="5"/>
    </xf>
    <xf numFmtId="179" fontId="3" fillId="5" borderId="17" xfId="0" applyNumberFormat="1" applyFont="1" applyFill="1" applyBorder="1" applyAlignment="1">
      <alignment horizontal="right" vertical="center" indent="5"/>
    </xf>
    <xf numFmtId="179" fontId="3" fillId="5" borderId="18" xfId="0" applyNumberFormat="1" applyFont="1" applyFill="1" applyBorder="1" applyAlignment="1">
      <alignment horizontal="right" vertical="center" indent="5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79" fontId="5" fillId="4" borderId="24" xfId="0" applyNumberFormat="1" applyFont="1" applyFill="1" applyBorder="1" applyAlignment="1">
      <alignment horizontal="center" vertical="center"/>
    </xf>
    <xf numFmtId="179" fontId="5" fillId="4" borderId="25" xfId="0" applyNumberFormat="1" applyFont="1" applyFill="1" applyBorder="1" applyAlignment="1">
      <alignment horizontal="center" vertical="center"/>
    </xf>
    <xf numFmtId="179" fontId="5" fillId="4" borderId="2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left" vertical="center"/>
    </xf>
    <xf numFmtId="179" fontId="3" fillId="5" borderId="27" xfId="0" applyNumberFormat="1" applyFont="1" applyFill="1" applyBorder="1" applyAlignment="1">
      <alignment horizontal="right" vertical="center" indent="5"/>
    </xf>
    <xf numFmtId="179" fontId="3" fillId="6" borderId="27" xfId="0" applyNumberFormat="1" applyFont="1" applyFill="1" applyBorder="1" applyAlignment="1">
      <alignment horizontal="right" vertical="center" indent="5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179" fontId="5" fillId="7" borderId="24" xfId="0" applyNumberFormat="1" applyFont="1" applyFill="1" applyBorder="1" applyAlignment="1">
      <alignment horizontal="center" vertical="center"/>
    </xf>
    <xf numFmtId="179" fontId="5" fillId="7" borderId="25" xfId="0" applyNumberFormat="1" applyFont="1" applyFill="1" applyBorder="1" applyAlignment="1">
      <alignment horizontal="center" vertical="center"/>
    </xf>
    <xf numFmtId="179" fontId="5" fillId="7" borderId="26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shrinkToFit="1"/>
    </xf>
    <xf numFmtId="0" fontId="6" fillId="5" borderId="12" xfId="0" applyFont="1" applyFill="1" applyBorder="1" applyAlignment="1">
      <alignment horizontal="left" shrinkToFit="1"/>
    </xf>
    <xf numFmtId="0" fontId="46" fillId="4" borderId="27" xfId="0" applyFont="1" applyFill="1" applyBorder="1" applyAlignment="1">
      <alignment horizontal="left" shrinkToFit="1"/>
    </xf>
    <xf numFmtId="0" fontId="46" fillId="4" borderId="17" xfId="0" applyFont="1" applyFill="1" applyBorder="1" applyAlignment="1">
      <alignment horizontal="left" shrinkToFit="1"/>
    </xf>
    <xf numFmtId="176" fontId="4" fillId="33" borderId="28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indent="3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9" fontId="5" fillId="6" borderId="24" xfId="0" applyNumberFormat="1" applyFont="1" applyFill="1" applyBorder="1" applyAlignment="1">
      <alignment horizontal="center" vertical="center"/>
    </xf>
    <xf numFmtId="179" fontId="5" fillId="6" borderId="25" xfId="0" applyNumberFormat="1" applyFont="1" applyFill="1" applyBorder="1" applyAlignment="1">
      <alignment horizontal="center" vertical="center"/>
    </xf>
    <xf numFmtId="179" fontId="5" fillId="6" borderId="26" xfId="0" applyNumberFormat="1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179" fontId="5" fillId="5" borderId="24" xfId="0" applyNumberFormat="1" applyFont="1" applyFill="1" applyBorder="1" applyAlignment="1">
      <alignment horizontal="center" vertical="center"/>
    </xf>
    <xf numFmtId="179" fontId="5" fillId="5" borderId="25" xfId="0" applyNumberFormat="1" applyFont="1" applyFill="1" applyBorder="1" applyAlignment="1">
      <alignment horizontal="center" vertical="center"/>
    </xf>
    <xf numFmtId="179" fontId="5" fillId="5" borderId="26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 wrapText="1"/>
    </xf>
    <xf numFmtId="0" fontId="3" fillId="0" borderId="31" xfId="0" applyFont="1" applyBorder="1" applyAlignment="1">
      <alignment horizontal="left" wrapText="1"/>
    </xf>
    <xf numFmtId="0" fontId="6" fillId="7" borderId="0" xfId="0" applyFont="1" applyFill="1" applyBorder="1" applyAlignment="1">
      <alignment horizontal="left" shrinkToFit="1"/>
    </xf>
    <xf numFmtId="0" fontId="6" fillId="7" borderId="12" xfId="0" applyFont="1" applyFill="1" applyBorder="1" applyAlignment="1">
      <alignment horizontal="left" shrinkToFit="1"/>
    </xf>
    <xf numFmtId="0" fontId="46" fillId="5" borderId="27" xfId="0" applyFont="1" applyFill="1" applyBorder="1" applyAlignment="1">
      <alignment horizontal="left" shrinkToFit="1"/>
    </xf>
    <xf numFmtId="0" fontId="46" fillId="5" borderId="17" xfId="0" applyFont="1" applyFill="1" applyBorder="1" applyAlignment="1">
      <alignment horizontal="left" shrinkToFit="1"/>
    </xf>
    <xf numFmtId="0" fontId="46" fillId="6" borderId="27" xfId="0" applyFont="1" applyFill="1" applyBorder="1" applyAlignment="1">
      <alignment horizontal="left" shrinkToFit="1"/>
    </xf>
    <xf numFmtId="0" fontId="46" fillId="6" borderId="17" xfId="0" applyFont="1" applyFill="1" applyBorder="1" applyAlignment="1">
      <alignment horizontal="left" shrinkToFit="1"/>
    </xf>
    <xf numFmtId="0" fontId="46" fillId="7" borderId="27" xfId="0" applyFont="1" applyFill="1" applyBorder="1" applyAlignment="1">
      <alignment horizontal="left" shrinkToFit="1"/>
    </xf>
    <xf numFmtId="0" fontId="46" fillId="7" borderId="17" xfId="0" applyFont="1" applyFill="1" applyBorder="1" applyAlignment="1">
      <alignment horizontal="left" shrinkToFit="1"/>
    </xf>
    <xf numFmtId="0" fontId="6" fillId="6" borderId="0" xfId="0" applyFont="1" applyFill="1" applyBorder="1" applyAlignment="1">
      <alignment horizontal="left" shrinkToFit="1"/>
    </xf>
    <xf numFmtId="0" fontId="6" fillId="6" borderId="12" xfId="0" applyFont="1" applyFill="1" applyBorder="1" applyAlignment="1">
      <alignment horizontal="left" shrinkToFit="1"/>
    </xf>
    <xf numFmtId="0" fontId="6" fillId="4" borderId="0" xfId="0" applyFont="1" applyFill="1" applyBorder="1" applyAlignment="1">
      <alignment horizontal="left" shrinkToFit="1"/>
    </xf>
    <xf numFmtId="0" fontId="6" fillId="4" borderId="12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49</xdr:row>
      <xdr:rowOff>114300</xdr:rowOff>
    </xdr:from>
    <xdr:to>
      <xdr:col>1</xdr:col>
      <xdr:colOff>666750</xdr:colOff>
      <xdr:row>51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800100" y="11306175"/>
          <a:ext cx="647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133350</xdr:rowOff>
    </xdr:from>
    <xdr:to>
      <xdr:col>1</xdr:col>
      <xdr:colOff>676275</xdr:colOff>
      <xdr:row>53</xdr:row>
      <xdr:rowOff>28575</xdr:rowOff>
    </xdr:to>
    <xdr:sp>
      <xdr:nvSpPr>
        <xdr:cNvPr id="2" name="Line 2"/>
        <xdr:cNvSpPr>
          <a:spLocks/>
        </xdr:cNvSpPr>
      </xdr:nvSpPr>
      <xdr:spPr>
        <a:xfrm>
          <a:off x="790575" y="11687175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114300</xdr:rowOff>
    </xdr:from>
    <xdr:to>
      <xdr:col>1</xdr:col>
      <xdr:colOff>666750</xdr:colOff>
      <xdr:row>41</xdr:row>
      <xdr:rowOff>123825</xdr:rowOff>
    </xdr:to>
    <xdr:sp>
      <xdr:nvSpPr>
        <xdr:cNvPr id="3" name="Line 1"/>
        <xdr:cNvSpPr>
          <a:spLocks/>
        </xdr:cNvSpPr>
      </xdr:nvSpPr>
      <xdr:spPr>
        <a:xfrm flipV="1">
          <a:off x="800100" y="9420225"/>
          <a:ext cx="647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133350</xdr:rowOff>
    </xdr:from>
    <xdr:to>
      <xdr:col>1</xdr:col>
      <xdr:colOff>676275</xdr:colOff>
      <xdr:row>43</xdr:row>
      <xdr:rowOff>28575</xdr:rowOff>
    </xdr:to>
    <xdr:sp>
      <xdr:nvSpPr>
        <xdr:cNvPr id="4" name="Line 2"/>
        <xdr:cNvSpPr>
          <a:spLocks/>
        </xdr:cNvSpPr>
      </xdr:nvSpPr>
      <xdr:spPr>
        <a:xfrm>
          <a:off x="790575" y="9801225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114300</xdr:rowOff>
    </xdr:from>
    <xdr:to>
      <xdr:col>1</xdr:col>
      <xdr:colOff>666750</xdr:colOff>
      <xdr:row>31</xdr:row>
      <xdr:rowOff>123825</xdr:rowOff>
    </xdr:to>
    <xdr:sp>
      <xdr:nvSpPr>
        <xdr:cNvPr id="5" name="Line 1"/>
        <xdr:cNvSpPr>
          <a:spLocks/>
        </xdr:cNvSpPr>
      </xdr:nvSpPr>
      <xdr:spPr>
        <a:xfrm flipV="1">
          <a:off x="800100" y="7534275"/>
          <a:ext cx="647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133350</xdr:rowOff>
    </xdr:from>
    <xdr:to>
      <xdr:col>1</xdr:col>
      <xdr:colOff>676275</xdr:colOff>
      <xdr:row>33</xdr:row>
      <xdr:rowOff>28575</xdr:rowOff>
    </xdr:to>
    <xdr:sp>
      <xdr:nvSpPr>
        <xdr:cNvPr id="6" name="Line 2"/>
        <xdr:cNvSpPr>
          <a:spLocks/>
        </xdr:cNvSpPr>
      </xdr:nvSpPr>
      <xdr:spPr>
        <a:xfrm>
          <a:off x="790575" y="7915275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114300</xdr:rowOff>
    </xdr:from>
    <xdr:to>
      <xdr:col>1</xdr:col>
      <xdr:colOff>666750</xdr:colOff>
      <xdr:row>21</xdr:row>
      <xdr:rowOff>123825</xdr:rowOff>
    </xdr:to>
    <xdr:sp>
      <xdr:nvSpPr>
        <xdr:cNvPr id="7" name="Line 1"/>
        <xdr:cNvSpPr>
          <a:spLocks/>
        </xdr:cNvSpPr>
      </xdr:nvSpPr>
      <xdr:spPr>
        <a:xfrm flipV="1">
          <a:off x="800100" y="5648325"/>
          <a:ext cx="647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133350</xdr:rowOff>
    </xdr:from>
    <xdr:to>
      <xdr:col>1</xdr:col>
      <xdr:colOff>676275</xdr:colOff>
      <xdr:row>23</xdr:row>
      <xdr:rowOff>28575</xdr:rowOff>
    </xdr:to>
    <xdr:sp>
      <xdr:nvSpPr>
        <xdr:cNvPr id="8" name="Line 2"/>
        <xdr:cNvSpPr>
          <a:spLocks/>
        </xdr:cNvSpPr>
      </xdr:nvSpPr>
      <xdr:spPr>
        <a:xfrm>
          <a:off x="790575" y="6029325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zoomScalePageLayoutView="80" workbookViewId="0" topLeftCell="A1">
      <selection activeCell="C4" sqref="C4:M4"/>
    </sheetView>
  </sheetViews>
  <sheetFormatPr defaultColWidth="9.00390625" defaultRowHeight="13.5"/>
  <cols>
    <col min="1" max="4" width="10.25390625" style="0" customWidth="1"/>
    <col min="5" max="11" width="9.00390625" style="0" customWidth="1"/>
  </cols>
  <sheetData>
    <row r="1" spans="1:13" ht="27.75" customHeight="1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7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7.75" customHeight="1" thickBot="1">
      <c r="A3" s="82" t="s">
        <v>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7.75" customHeight="1" thickBot="1">
      <c r="A4" s="78">
        <v>45</v>
      </c>
      <c r="B4" s="79"/>
      <c r="C4" s="83" t="s">
        <v>12</v>
      </c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2" customFormat="1" ht="34.5" customHeight="1" thickBot="1">
      <c r="A5" s="95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4" t="s">
        <v>20</v>
      </c>
      <c r="L5" s="94"/>
      <c r="M5" s="3"/>
    </row>
    <row r="6" spans="1:12" s="2" customFormat="1" ht="41.25" customHeight="1">
      <c r="A6" s="55" t="s">
        <v>13</v>
      </c>
      <c r="B6" s="56"/>
      <c r="C6" s="57"/>
      <c r="D6" s="88" t="s">
        <v>21</v>
      </c>
      <c r="E6" s="89"/>
      <c r="F6" s="90"/>
      <c r="G6" s="71" t="s">
        <v>22</v>
      </c>
      <c r="H6" s="72"/>
      <c r="I6" s="73"/>
      <c r="J6" s="65" t="s">
        <v>23</v>
      </c>
      <c r="K6" s="66"/>
      <c r="L6" s="67"/>
    </row>
    <row r="7" spans="1:12" s="2" customFormat="1" ht="41.25" customHeight="1" thickBot="1">
      <c r="A7" s="58">
        <f>M27</f>
        <v>4070</v>
      </c>
      <c r="B7" s="59"/>
      <c r="C7" s="60"/>
      <c r="D7" s="91">
        <f>M37</f>
        <v>5411</v>
      </c>
      <c r="E7" s="92"/>
      <c r="F7" s="93"/>
      <c r="G7" s="85">
        <f>M47</f>
        <v>6099</v>
      </c>
      <c r="H7" s="86"/>
      <c r="I7" s="87"/>
      <c r="J7" s="68">
        <f>M57</f>
        <v>6765</v>
      </c>
      <c r="K7" s="69"/>
      <c r="L7" s="70"/>
    </row>
    <row r="8" spans="1:12" s="2" customFormat="1" ht="11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s="2" customFormat="1" ht="18.75" customHeight="1">
      <c r="A9" s="62" t="s">
        <v>15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s="2" customFormat="1" ht="18.75" customHeight="1">
      <c r="A10" s="63">
        <f>D7-A7</f>
        <v>1341</v>
      </c>
      <c r="B10" s="53"/>
      <c r="C10" s="53"/>
      <c r="D10" s="53"/>
      <c r="E10" s="53"/>
      <c r="F10" s="54"/>
      <c r="G10" s="41"/>
      <c r="H10" s="41"/>
      <c r="I10" s="41"/>
      <c r="J10" s="41"/>
      <c r="K10" s="41"/>
      <c r="L10" s="41"/>
    </row>
    <row r="11" spans="1:12" s="2" customFormat="1" ht="18.75" customHeight="1">
      <c r="A11" s="64">
        <f>G7-A7</f>
        <v>2029</v>
      </c>
      <c r="B11" s="44"/>
      <c r="C11" s="44"/>
      <c r="D11" s="44"/>
      <c r="E11" s="44"/>
      <c r="F11" s="44"/>
      <c r="G11" s="44"/>
      <c r="H11" s="44"/>
      <c r="I11" s="45"/>
      <c r="J11" s="41"/>
      <c r="K11" s="41"/>
      <c r="L11" s="41"/>
    </row>
    <row r="12" spans="1:12" s="2" customFormat="1" ht="18.75" customHeight="1">
      <c r="A12" s="47">
        <f>J7-A7</f>
        <v>2695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2" s="2" customFormat="1" ht="18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s="2" customFormat="1" ht="18.75" customHeight="1">
      <c r="A14" s="61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s="2" customFormat="1" ht="18.75" customHeight="1">
      <c r="A15" s="51">
        <f>D7-A7</f>
        <v>1341</v>
      </c>
      <c r="B15" s="52"/>
      <c r="C15" s="52"/>
      <c r="D15" s="53"/>
      <c r="E15" s="53"/>
      <c r="F15" s="54"/>
      <c r="G15" s="41"/>
      <c r="H15" s="41"/>
      <c r="I15" s="41"/>
      <c r="J15" s="41"/>
      <c r="K15" s="41"/>
      <c r="L15" s="41"/>
    </row>
    <row r="16" spans="1:12" s="2" customFormat="1" ht="18.75" customHeight="1">
      <c r="A16" s="46"/>
      <c r="B16" s="46"/>
      <c r="C16" s="46"/>
      <c r="D16" s="42">
        <f>G7-D7</f>
        <v>688</v>
      </c>
      <c r="E16" s="43"/>
      <c r="F16" s="43"/>
      <c r="G16" s="44"/>
      <c r="H16" s="44"/>
      <c r="I16" s="45"/>
      <c r="J16" s="41"/>
      <c r="K16" s="41"/>
      <c r="L16" s="41"/>
    </row>
    <row r="17" spans="1:12" s="2" customFormat="1" ht="18.75" customHeight="1">
      <c r="A17" s="46"/>
      <c r="B17" s="46"/>
      <c r="C17" s="46"/>
      <c r="D17" s="46"/>
      <c r="E17" s="46"/>
      <c r="F17" s="46"/>
      <c r="G17" s="47">
        <f>J7-G7</f>
        <v>666</v>
      </c>
      <c r="H17" s="48"/>
      <c r="I17" s="48"/>
      <c r="J17" s="48"/>
      <c r="K17" s="48"/>
      <c r="L17" s="49"/>
    </row>
    <row r="19" spans="1:13" s="1" customFormat="1" ht="14.25">
      <c r="A19" s="76" t="s">
        <v>13</v>
      </c>
      <c r="B19" s="77"/>
      <c r="C19" s="9" t="s">
        <v>10</v>
      </c>
      <c r="D19" s="9" t="s">
        <v>1</v>
      </c>
      <c r="E19" s="9" t="s">
        <v>2</v>
      </c>
      <c r="F19" s="9" t="s">
        <v>3</v>
      </c>
      <c r="G19" s="9" t="s">
        <v>4</v>
      </c>
      <c r="H19" s="9" t="s">
        <v>5</v>
      </c>
      <c r="I19" s="9" t="s">
        <v>6</v>
      </c>
      <c r="J19" s="9" t="s">
        <v>11</v>
      </c>
      <c r="K19" s="9" t="s">
        <v>7</v>
      </c>
      <c r="L19" s="9" t="s">
        <v>8</v>
      </c>
      <c r="M19" s="9" t="s">
        <v>27</v>
      </c>
    </row>
    <row r="20" spans="1:13" s="1" customFormat="1" ht="14.25">
      <c r="A20" s="25"/>
      <c r="B20" s="4"/>
      <c r="C20" s="11">
        <f>ROUNDDOWN(A22/2,0)</f>
        <v>22</v>
      </c>
      <c r="D20" s="11">
        <v>350</v>
      </c>
      <c r="E20" s="11">
        <f>IF(AND(C20&gt;0,C20&lt;=10),C20*60,IF(C20&gt;10,600,0))</f>
        <v>600</v>
      </c>
      <c r="F20" s="11">
        <f>IF(AND(C20&gt;10,C20&lt;=20),(C20-10)*70,IF(C20&gt;20,700,0))</f>
        <v>700</v>
      </c>
      <c r="G20" s="11">
        <f>IF(AND(C20&gt;20,C20&lt;=30),(C20-20)*80,IF(C20&gt;30,800,0))</f>
        <v>160</v>
      </c>
      <c r="H20" s="11">
        <f>IF(AND(C20&gt;30,C20&lt;=40),(C20-30)*90,IF(C20&gt;40,900,0))</f>
        <v>0</v>
      </c>
      <c r="I20" s="11">
        <f>IF(AND(C20&gt;40,C20&lt;=50),(C20-40)*100,IF(C20&gt;50,1000,0))</f>
        <v>0</v>
      </c>
      <c r="J20" s="11">
        <f>IF(AND(C20&gt;50,C20&lt;=100),(C20-50)*105,IF(C20&gt;100,5250,0))</f>
        <v>0</v>
      </c>
      <c r="K20" s="11">
        <f>IF(C20&gt;100,(C20-100)*110,0)</f>
        <v>0</v>
      </c>
      <c r="L20" s="11">
        <f>SUM(D20:K20)</f>
        <v>1810</v>
      </c>
      <c r="M20" s="11">
        <f>ROUNDDOWN(L20*1.1,0)</f>
        <v>1991</v>
      </c>
    </row>
    <row r="21" spans="1:13" s="1" customFormat="1" ht="14.25">
      <c r="A21" s="9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6"/>
    </row>
    <row r="22" spans="1:13" s="1" customFormat="1" ht="20.25" customHeight="1">
      <c r="A22" s="10">
        <f>A4</f>
        <v>45</v>
      </c>
      <c r="B22" s="4"/>
      <c r="C22" s="106" t="s">
        <v>14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7"/>
    </row>
    <row r="23" spans="1:13" s="1" customFormat="1" ht="14.25">
      <c r="A23" s="25"/>
      <c r="B23" s="4"/>
      <c r="C23" s="9" t="s">
        <v>10</v>
      </c>
      <c r="D23" s="9" t="s">
        <v>1</v>
      </c>
      <c r="E23" s="9" t="s">
        <v>2</v>
      </c>
      <c r="F23" s="9" t="s">
        <v>3</v>
      </c>
      <c r="G23" s="9" t="s">
        <v>4</v>
      </c>
      <c r="H23" s="9" t="s">
        <v>5</v>
      </c>
      <c r="I23" s="9" t="s">
        <v>6</v>
      </c>
      <c r="J23" s="9" t="s">
        <v>11</v>
      </c>
      <c r="K23" s="9" t="s">
        <v>7</v>
      </c>
      <c r="L23" s="9" t="s">
        <v>8</v>
      </c>
      <c r="M23" s="9" t="s">
        <v>27</v>
      </c>
    </row>
    <row r="24" spans="1:13" s="1" customFormat="1" ht="14.25">
      <c r="A24" s="25"/>
      <c r="B24" s="4"/>
      <c r="C24" s="11">
        <f>ROUNDUP(A22/2,0)</f>
        <v>23</v>
      </c>
      <c r="D24" s="11">
        <v>350</v>
      </c>
      <c r="E24" s="11">
        <f>IF(AND(C24&gt;0,C24&lt;=10),C24*60,IF(C24&gt;10,600,0))</f>
        <v>600</v>
      </c>
      <c r="F24" s="11">
        <f>IF(AND(C24&gt;10,C24&lt;=20),(C24-10)*70,IF(C24&gt;20,700,0))</f>
        <v>700</v>
      </c>
      <c r="G24" s="11">
        <f>IF(AND(C24&gt;20,C24&lt;=30),(C24-20)*80,IF(C24&gt;30,800,0))</f>
        <v>240</v>
      </c>
      <c r="H24" s="11">
        <f>IF(AND(C24&gt;30,C24&lt;=40),(C24-30)*90,IF(C24&gt;40,900,0))</f>
        <v>0</v>
      </c>
      <c r="I24" s="11">
        <f>IF(AND(C24&gt;40,C24&lt;=50),(C24-40)*100,IF(C24&gt;50,1000,0))</f>
        <v>0</v>
      </c>
      <c r="J24" s="11">
        <f>IF(AND(C24&gt;50,C24&lt;=100),(C24-50)*105,IF(C24&gt;100,5250,0))</f>
        <v>0</v>
      </c>
      <c r="K24" s="11">
        <f>IF(C24&gt;100,(C24-100)*110,0)</f>
        <v>0</v>
      </c>
      <c r="L24" s="11">
        <f>SUM(D24:K24)</f>
        <v>1890</v>
      </c>
      <c r="M24" s="11">
        <f>ROUNDDOWN(L24*1.1,0)</f>
        <v>2079</v>
      </c>
    </row>
    <row r="25" spans="1:13" s="1" customFormat="1" ht="14.25">
      <c r="A25" s="2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6"/>
    </row>
    <row r="26" spans="1:13" s="1" customFormat="1" ht="14.25">
      <c r="A26" s="25"/>
      <c r="B26" s="4"/>
      <c r="C26" s="4"/>
      <c r="D26" s="4"/>
      <c r="E26" s="4"/>
      <c r="F26" s="4"/>
      <c r="G26" s="4"/>
      <c r="H26" s="4"/>
      <c r="I26" s="4"/>
      <c r="J26" s="4"/>
      <c r="K26" s="4"/>
      <c r="L26" s="9" t="s">
        <v>31</v>
      </c>
      <c r="M26" s="9" t="s">
        <v>9</v>
      </c>
    </row>
    <row r="27" spans="1:13" s="1" customFormat="1" ht="14.2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12">
        <f>ROUNDDOWN(M27*10/110,0)</f>
        <v>370</v>
      </c>
      <c r="M27" s="12">
        <f>SUM(M20,M24)</f>
        <v>4070</v>
      </c>
    </row>
    <row r="28" spans="1:13" s="1" customFormat="1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1" customFormat="1" ht="14.25">
      <c r="A29" s="98" t="s">
        <v>24</v>
      </c>
      <c r="B29" s="99"/>
      <c r="C29" s="13" t="s">
        <v>10</v>
      </c>
      <c r="D29" s="13" t="s">
        <v>1</v>
      </c>
      <c r="E29" s="13" t="s">
        <v>2</v>
      </c>
      <c r="F29" s="13" t="s">
        <v>3</v>
      </c>
      <c r="G29" s="13" t="s">
        <v>4</v>
      </c>
      <c r="H29" s="13" t="s">
        <v>5</v>
      </c>
      <c r="I29" s="13" t="s">
        <v>6</v>
      </c>
      <c r="J29" s="13" t="s">
        <v>11</v>
      </c>
      <c r="K29" s="13" t="s">
        <v>7</v>
      </c>
      <c r="L29" s="13" t="s">
        <v>8</v>
      </c>
      <c r="M29" s="13" t="s">
        <v>28</v>
      </c>
    </row>
    <row r="30" spans="1:13" s="1" customFormat="1" ht="14.25">
      <c r="A30" s="29"/>
      <c r="B30" s="6"/>
      <c r="C30" s="14">
        <f>ROUNDDOWN(A32/2,0)</f>
        <v>22</v>
      </c>
      <c r="D30" s="14">
        <v>600</v>
      </c>
      <c r="E30" s="14">
        <f>IF(AND(C30&gt;0,C30&lt;=10),C30*80,IF(C30&gt;10,800,0))</f>
        <v>800</v>
      </c>
      <c r="F30" s="14">
        <f>IF(AND(C30&gt;10,C30&lt;=20),(C30-10)*84,IF(C30&gt;20,840,0))</f>
        <v>840</v>
      </c>
      <c r="G30" s="14">
        <f>IF(AND(C30&gt;20,C30&lt;=30),(C30-20)*88,IF(C30&gt;30,880,0))</f>
        <v>176</v>
      </c>
      <c r="H30" s="14">
        <f>IF(AND(C30&gt;30,C30&lt;=40),(C30-30)*92,IF(C30&gt;40,920,0))</f>
        <v>0</v>
      </c>
      <c r="I30" s="14">
        <f>IF(AND(C30&gt;40,C30&lt;=50),(C30-40)*108,IF(C30&gt;50,1080,0))</f>
        <v>0</v>
      </c>
      <c r="J30" s="14">
        <f>IF(AND(C30&gt;50,C30&lt;=100),(C30-50)*113,IF(C30&gt;100,5650,0))</f>
        <v>0</v>
      </c>
      <c r="K30" s="14">
        <f>IF(C30&gt;100,(C30-100)*117,0)</f>
        <v>0</v>
      </c>
      <c r="L30" s="14">
        <f>SUM(D30:K30)</f>
        <v>2416</v>
      </c>
      <c r="M30" s="14">
        <f>ROUNDDOWN(L30*1.1,0)</f>
        <v>2657</v>
      </c>
    </row>
    <row r="31" spans="1:13" s="1" customFormat="1" ht="14.25">
      <c r="A31" s="13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30"/>
    </row>
    <row r="32" spans="1:13" s="1" customFormat="1" ht="20.25" customHeight="1">
      <c r="A32" s="15">
        <f>A22</f>
        <v>45</v>
      </c>
      <c r="B32" s="6"/>
      <c r="C32" s="74" t="str">
        <f>C22</f>
        <v>※割水量は、前期分が切り捨てで、後期分に端数を加えた水量で計算</v>
      </c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s="1" customFormat="1" ht="14.25">
      <c r="A33" s="29"/>
      <c r="B33" s="6"/>
      <c r="C33" s="13" t="s">
        <v>10</v>
      </c>
      <c r="D33" s="13" t="s">
        <v>1</v>
      </c>
      <c r="E33" s="13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11</v>
      </c>
      <c r="K33" s="13" t="s">
        <v>7</v>
      </c>
      <c r="L33" s="13" t="s">
        <v>8</v>
      </c>
      <c r="M33" s="13" t="s">
        <v>29</v>
      </c>
    </row>
    <row r="34" spans="1:13" s="1" customFormat="1" ht="14.25">
      <c r="A34" s="29"/>
      <c r="B34" s="6"/>
      <c r="C34" s="14">
        <f>ROUNDUP(A32/2,0)</f>
        <v>23</v>
      </c>
      <c r="D34" s="14">
        <v>600</v>
      </c>
      <c r="E34" s="14">
        <f>IF(AND(C34&gt;0,C34&lt;=10),C34*80,IF(C34&gt;10,800,0))</f>
        <v>800</v>
      </c>
      <c r="F34" s="14">
        <f>IF(AND(C34&gt;10,C34&lt;=20),(C34-10)*84,IF(C34&gt;20,840,0))</f>
        <v>840</v>
      </c>
      <c r="G34" s="14">
        <f>IF(AND(C34&gt;20,C34&lt;=30),(C34-20)*88,IF(C34&gt;30,880,0))</f>
        <v>264</v>
      </c>
      <c r="H34" s="14">
        <f>IF(AND(C34&gt;30,C34&lt;=40),(C34-30)*92,IF(C34&gt;40,920,0))</f>
        <v>0</v>
      </c>
      <c r="I34" s="14">
        <f>IF(AND(C34&gt;40,C34&lt;=50),(C34-40)*108,IF(C34&gt;50,1080,0))</f>
        <v>0</v>
      </c>
      <c r="J34" s="14">
        <f>IF(AND(C34&gt;50,C34&lt;=100),(C34-50)*113,IF(C34&gt;100,5650,0))</f>
        <v>0</v>
      </c>
      <c r="K34" s="14">
        <f>IF(C34&gt;100,(C34-100)*117,0)</f>
        <v>0</v>
      </c>
      <c r="L34" s="14">
        <f>SUM(D34:K34)</f>
        <v>2504</v>
      </c>
      <c r="M34" s="14">
        <f>ROUNDDOWN(L34*1.1,0)</f>
        <v>2754</v>
      </c>
    </row>
    <row r="35" spans="1:13" s="1" customFormat="1" ht="14.25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0"/>
    </row>
    <row r="36" spans="1:13" s="1" customFormat="1" ht="14.25">
      <c r="A36" s="29"/>
      <c r="B36" s="6"/>
      <c r="C36" s="6"/>
      <c r="D36" s="6"/>
      <c r="E36" s="6"/>
      <c r="F36" s="6"/>
      <c r="G36" s="6"/>
      <c r="H36" s="6"/>
      <c r="I36" s="6"/>
      <c r="J36" s="6"/>
      <c r="K36" s="6"/>
      <c r="L36" s="13" t="s">
        <v>32</v>
      </c>
      <c r="M36" s="13" t="s">
        <v>9</v>
      </c>
    </row>
    <row r="37" spans="1:13" s="1" customFormat="1" ht="14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16">
        <f>ROUNDDOWN(M37*10/110,0)</f>
        <v>491</v>
      </c>
      <c r="M37" s="16">
        <f>SUM(M30,M34)</f>
        <v>5411</v>
      </c>
    </row>
    <row r="38" spans="1:13" s="1" customFormat="1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1" customFormat="1" ht="14.25">
      <c r="A39" s="100" t="s">
        <v>25</v>
      </c>
      <c r="B39" s="101"/>
      <c r="C39" s="17" t="s">
        <v>10</v>
      </c>
      <c r="D39" s="17" t="s">
        <v>1</v>
      </c>
      <c r="E39" s="17" t="s">
        <v>2</v>
      </c>
      <c r="F39" s="17" t="s">
        <v>3</v>
      </c>
      <c r="G39" s="17" t="s">
        <v>4</v>
      </c>
      <c r="H39" s="17" t="s">
        <v>5</v>
      </c>
      <c r="I39" s="17" t="s">
        <v>6</v>
      </c>
      <c r="J39" s="17" t="s">
        <v>11</v>
      </c>
      <c r="K39" s="17" t="s">
        <v>7</v>
      </c>
      <c r="L39" s="17" t="s">
        <v>8</v>
      </c>
      <c r="M39" s="17" t="s">
        <v>28</v>
      </c>
    </row>
    <row r="40" spans="1:13" s="1" customFormat="1" ht="14.25">
      <c r="A40" s="33"/>
      <c r="B40" s="7"/>
      <c r="C40" s="18">
        <f>ROUNDDOWN(A42/2,0)</f>
        <v>22</v>
      </c>
      <c r="D40" s="18">
        <v>675</v>
      </c>
      <c r="E40" s="18">
        <f>IF(AND(C40&gt;0,C40&lt;=10),C40*90,IF(C40&gt;10,900,0))</f>
        <v>900</v>
      </c>
      <c r="F40" s="18">
        <f>IF(AND(C40&gt;10,C40&lt;=20),(C40-10)*95,IF(C40&gt;20,950,0))</f>
        <v>950</v>
      </c>
      <c r="G40" s="18">
        <f>IF(AND(C40&gt;20,C40&lt;=30),(C40-20)*99,IF(C40&gt;30,990,0))</f>
        <v>198</v>
      </c>
      <c r="H40" s="18">
        <f>IF(AND(C40&gt;30,C40&lt;=40),(C40-30)*104,IF(C40&gt;40,1040,0))</f>
        <v>0</v>
      </c>
      <c r="I40" s="18">
        <f>IF(AND(C40&gt;40,C40&lt;=50),(C40-40)*114,IF(C40&gt;50,1140,0))</f>
        <v>0</v>
      </c>
      <c r="J40" s="18">
        <f>IF(AND(C40&gt;50,C40&lt;=100),(C40-50)*119,IF(C40&gt;100,5950,0))</f>
        <v>0</v>
      </c>
      <c r="K40" s="18">
        <f>IF(C40&gt;100,(C40-100)*124,0)</f>
        <v>0</v>
      </c>
      <c r="L40" s="18">
        <f>SUM(D40:K40)</f>
        <v>2723</v>
      </c>
      <c r="M40" s="18">
        <f>ROUNDDOWN(L40*1.1,0)</f>
        <v>2995</v>
      </c>
    </row>
    <row r="41" spans="1:13" s="1" customFormat="1" ht="14.25">
      <c r="A41" s="17" t="s">
        <v>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34"/>
    </row>
    <row r="42" spans="1:13" s="1" customFormat="1" ht="20.25" customHeight="1">
      <c r="A42" s="20">
        <f>A22</f>
        <v>45</v>
      </c>
      <c r="B42" s="7"/>
      <c r="C42" s="104" t="str">
        <f>C22</f>
        <v>※割水量は、前期分が切り捨てで、後期分に端数を加えた水量で計算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5"/>
    </row>
    <row r="43" spans="1:13" s="1" customFormat="1" ht="14.25">
      <c r="A43" s="33"/>
      <c r="B43" s="7"/>
      <c r="C43" s="17" t="s">
        <v>10</v>
      </c>
      <c r="D43" s="17" t="s">
        <v>1</v>
      </c>
      <c r="E43" s="17" t="s">
        <v>2</v>
      </c>
      <c r="F43" s="17" t="s">
        <v>3</v>
      </c>
      <c r="G43" s="17" t="s">
        <v>4</v>
      </c>
      <c r="H43" s="17" t="s">
        <v>5</v>
      </c>
      <c r="I43" s="17" t="s">
        <v>6</v>
      </c>
      <c r="J43" s="17" t="s">
        <v>11</v>
      </c>
      <c r="K43" s="17" t="s">
        <v>7</v>
      </c>
      <c r="L43" s="17" t="s">
        <v>8</v>
      </c>
      <c r="M43" s="17" t="s">
        <v>30</v>
      </c>
    </row>
    <row r="44" spans="1:13" s="1" customFormat="1" ht="14.25">
      <c r="A44" s="33"/>
      <c r="B44" s="7"/>
      <c r="C44" s="18">
        <f>ROUNDUP(A42/2,0)</f>
        <v>23</v>
      </c>
      <c r="D44" s="18">
        <v>675</v>
      </c>
      <c r="E44" s="18">
        <f>IF(AND(C44&gt;0,C44&lt;=10),C44*90,IF(C44&gt;10,900,0))</f>
        <v>900</v>
      </c>
      <c r="F44" s="18">
        <f>IF(AND(C44&gt;10,C44&lt;=20),(C44-10)*95,IF(C44&gt;20,950,0))</f>
        <v>950</v>
      </c>
      <c r="G44" s="18">
        <f>IF(AND(C44&gt;20,C44&lt;=30),(C44-20)*99,IF(C44&gt;30,990,0))</f>
        <v>297</v>
      </c>
      <c r="H44" s="18">
        <f>IF(AND(C44&gt;30,C44&lt;=40),(C44-30)*104,IF(C44&gt;40,1040,0))</f>
        <v>0</v>
      </c>
      <c r="I44" s="18">
        <f>IF(AND(C44&gt;40,C44&lt;=50),(C44-40)*114,IF(C44&gt;50,1140,0))</f>
        <v>0</v>
      </c>
      <c r="J44" s="18">
        <f>IF(AND(C44&gt;50,C44&lt;=100),(C44-50)*119,IF(C44&gt;100,5950,0))</f>
        <v>0</v>
      </c>
      <c r="K44" s="18">
        <f>IF(C44&gt;100,(C44-100)*124,0)</f>
        <v>0</v>
      </c>
      <c r="L44" s="18">
        <f>SUM(D44:K44)</f>
        <v>2822</v>
      </c>
      <c r="M44" s="18">
        <f>ROUNDDOWN(L44*1.1,0)</f>
        <v>3104</v>
      </c>
    </row>
    <row r="45" spans="1:13" s="1" customFormat="1" ht="14.25">
      <c r="A45" s="3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34"/>
    </row>
    <row r="46" spans="1:13" s="1" customFormat="1" ht="14.25">
      <c r="A46" s="33"/>
      <c r="B46" s="7"/>
      <c r="C46" s="7"/>
      <c r="D46" s="7"/>
      <c r="E46" s="7"/>
      <c r="F46" s="7"/>
      <c r="G46" s="7"/>
      <c r="H46" s="7"/>
      <c r="I46" s="7"/>
      <c r="J46" s="7"/>
      <c r="K46" s="7"/>
      <c r="L46" s="17" t="s">
        <v>32</v>
      </c>
      <c r="M46" s="17" t="s">
        <v>9</v>
      </c>
    </row>
    <row r="47" spans="1:13" s="1" customFormat="1" ht="14.2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9">
        <f>ROUNDDOWN(M47*10/110,0)</f>
        <v>554</v>
      </c>
      <c r="M47" s="19">
        <f>SUM(M40,M44)</f>
        <v>6099</v>
      </c>
    </row>
    <row r="48" spans="1:13" s="1" customFormat="1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1" customFormat="1" ht="14.25">
      <c r="A49" s="102" t="s">
        <v>26</v>
      </c>
      <c r="B49" s="103"/>
      <c r="C49" s="21" t="s">
        <v>10</v>
      </c>
      <c r="D49" s="21" t="s">
        <v>1</v>
      </c>
      <c r="E49" s="21" t="s">
        <v>2</v>
      </c>
      <c r="F49" s="21" t="s">
        <v>3</v>
      </c>
      <c r="G49" s="21" t="s">
        <v>4</v>
      </c>
      <c r="H49" s="21" t="s">
        <v>5</v>
      </c>
      <c r="I49" s="21" t="s">
        <v>6</v>
      </c>
      <c r="J49" s="21" t="s">
        <v>11</v>
      </c>
      <c r="K49" s="21" t="s">
        <v>7</v>
      </c>
      <c r="L49" s="21" t="s">
        <v>8</v>
      </c>
      <c r="M49" s="21" t="s">
        <v>30</v>
      </c>
    </row>
    <row r="50" spans="1:13" s="1" customFormat="1" ht="14.25">
      <c r="A50" s="37"/>
      <c r="B50" s="8"/>
      <c r="C50" s="22">
        <f>ROUNDDOWN(A52/2,0)</f>
        <v>22</v>
      </c>
      <c r="D50" s="22">
        <v>750</v>
      </c>
      <c r="E50" s="22">
        <f>IF(AND(C50&gt;0,C50&lt;=10),C50*100,IF(C50&gt;10,1000,0))</f>
        <v>1000</v>
      </c>
      <c r="F50" s="22">
        <f>IF(AND(C50&gt;10,C50&lt;=20),(C50-10)*105,IF(C50&gt;20,1050,0))</f>
        <v>1050</v>
      </c>
      <c r="G50" s="22">
        <f>IF(AND(C50&gt;20,C50&lt;=30),(C50-20)*110,IF(C50&gt;30,1100,0))</f>
        <v>220</v>
      </c>
      <c r="H50" s="22">
        <f>IF(AND(C50&gt;30,C50&lt;=40),(C50-30)*115,IF(C50&gt;40,1150,0))</f>
        <v>0</v>
      </c>
      <c r="I50" s="22">
        <f>IF(AND(C50&gt;40,C50&lt;=50),(C50-40)*120,IF(C50&gt;50,1200,0))</f>
        <v>0</v>
      </c>
      <c r="J50" s="22">
        <f>IF(AND(C50&gt;50,C50&lt;=100),(C50-50)*125,IF(C50&gt;100,6250,0))</f>
        <v>0</v>
      </c>
      <c r="K50" s="22">
        <f>IF(C50&gt;100,(C50-100)*130,0)</f>
        <v>0</v>
      </c>
      <c r="L50" s="22">
        <f>SUM(D50:K50)</f>
        <v>3020</v>
      </c>
      <c r="M50" s="22">
        <f>ROUNDDOWN(L50*1.1,0)</f>
        <v>3322</v>
      </c>
    </row>
    <row r="51" spans="1:13" s="1" customFormat="1" ht="14.25">
      <c r="A51" s="21" t="s">
        <v>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38"/>
    </row>
    <row r="52" spans="1:13" s="1" customFormat="1" ht="20.25" customHeight="1">
      <c r="A52" s="23">
        <f>A22</f>
        <v>45</v>
      </c>
      <c r="B52" s="8"/>
      <c r="C52" s="96" t="str">
        <f>C22</f>
        <v>※割水量は、前期分が切り捨てで、後期分に端数を加えた水量で計算</v>
      </c>
      <c r="D52" s="96"/>
      <c r="E52" s="96"/>
      <c r="F52" s="96"/>
      <c r="G52" s="96"/>
      <c r="H52" s="96"/>
      <c r="I52" s="96"/>
      <c r="J52" s="96"/>
      <c r="K52" s="96"/>
      <c r="L52" s="96"/>
      <c r="M52" s="97"/>
    </row>
    <row r="53" spans="1:13" s="1" customFormat="1" ht="14.25">
      <c r="A53" s="37"/>
      <c r="B53" s="8"/>
      <c r="C53" s="21" t="s">
        <v>10</v>
      </c>
      <c r="D53" s="21" t="s">
        <v>1</v>
      </c>
      <c r="E53" s="21" t="s">
        <v>2</v>
      </c>
      <c r="F53" s="21" t="s">
        <v>3</v>
      </c>
      <c r="G53" s="21" t="s">
        <v>4</v>
      </c>
      <c r="H53" s="21" t="s">
        <v>5</v>
      </c>
      <c r="I53" s="21" t="s">
        <v>6</v>
      </c>
      <c r="J53" s="21" t="s">
        <v>11</v>
      </c>
      <c r="K53" s="21" t="s">
        <v>7</v>
      </c>
      <c r="L53" s="21" t="s">
        <v>8</v>
      </c>
      <c r="M53" s="21" t="s">
        <v>30</v>
      </c>
    </row>
    <row r="54" spans="1:13" s="1" customFormat="1" ht="14.25">
      <c r="A54" s="37"/>
      <c r="B54" s="8"/>
      <c r="C54" s="22">
        <f>ROUNDUP(A52/2,0)</f>
        <v>23</v>
      </c>
      <c r="D54" s="22">
        <v>750</v>
      </c>
      <c r="E54" s="22">
        <f>IF(AND(C54&gt;0,C54&lt;=10),C54*100,IF(C54&gt;10,1000,0))</f>
        <v>1000</v>
      </c>
      <c r="F54" s="22">
        <f>IF(AND(C54&gt;10,C54&lt;=20),(C54-10)*105,IF(C54&gt;20,1050,0))</f>
        <v>1050</v>
      </c>
      <c r="G54" s="22">
        <f>IF(AND(C54&gt;20,C54&lt;=30),(C54-20)*110,IF(C54&gt;30,1100,0))</f>
        <v>330</v>
      </c>
      <c r="H54" s="22">
        <f>IF(AND(C54&gt;30,C54&lt;=40),(C54-30)*115,IF(C54&gt;40,1150,0))</f>
        <v>0</v>
      </c>
      <c r="I54" s="22">
        <f>IF(AND(C54&gt;40,C54&lt;=50),(C54-40)*120,IF(C54&gt;50,1200,0))</f>
        <v>0</v>
      </c>
      <c r="J54" s="22">
        <f>IF(AND(C54&gt;50,C54&lt;=100),(C54-50)*125,IF(C54&gt;100,6250,0))</f>
        <v>0</v>
      </c>
      <c r="K54" s="22">
        <f>IF(C54&gt;100,(C54-100)*130,0)</f>
        <v>0</v>
      </c>
      <c r="L54" s="22">
        <f>SUM(D54:K54)</f>
        <v>3130</v>
      </c>
      <c r="M54" s="22">
        <f>ROUNDDOWN(L54*1.1,0)</f>
        <v>3443</v>
      </c>
    </row>
    <row r="55" spans="1:13" s="1" customFormat="1" ht="14.25">
      <c r="A55" s="3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38"/>
    </row>
    <row r="56" spans="1:13" s="1" customFormat="1" ht="14.25">
      <c r="A56" s="37"/>
      <c r="B56" s="8"/>
      <c r="C56" s="8"/>
      <c r="D56" s="8"/>
      <c r="E56" s="8"/>
      <c r="F56" s="8"/>
      <c r="G56" s="8"/>
      <c r="H56" s="8"/>
      <c r="I56" s="8"/>
      <c r="J56" s="8"/>
      <c r="K56" s="8"/>
      <c r="L56" s="21" t="s">
        <v>32</v>
      </c>
      <c r="M56" s="21" t="s">
        <v>9</v>
      </c>
    </row>
    <row r="57" spans="1:13" s="1" customFormat="1" ht="14.2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24">
        <f>ROUNDDOWN(M57*10/110,0)</f>
        <v>615</v>
      </c>
      <c r="M57" s="24">
        <f>SUM(M50,M54)</f>
        <v>6765</v>
      </c>
    </row>
  </sheetData>
  <sheetProtection sheet="1"/>
  <mergeCells count="39">
    <mergeCell ref="K5:L5"/>
    <mergeCell ref="A5:J5"/>
    <mergeCell ref="C52:M52"/>
    <mergeCell ref="A29:B29"/>
    <mergeCell ref="A39:B39"/>
    <mergeCell ref="A49:B49"/>
    <mergeCell ref="G10:L10"/>
    <mergeCell ref="J11:L11"/>
    <mergeCell ref="C42:M42"/>
    <mergeCell ref="C22:M22"/>
    <mergeCell ref="C32:M32"/>
    <mergeCell ref="A19:B19"/>
    <mergeCell ref="A4:B4"/>
    <mergeCell ref="A1:M1"/>
    <mergeCell ref="A2:M2"/>
    <mergeCell ref="A3:M3"/>
    <mergeCell ref="C4:M4"/>
    <mergeCell ref="G7:I7"/>
    <mergeCell ref="D6:F6"/>
    <mergeCell ref="D7:F7"/>
    <mergeCell ref="A6:C6"/>
    <mergeCell ref="A7:C7"/>
    <mergeCell ref="A14:L14"/>
    <mergeCell ref="A9:L9"/>
    <mergeCell ref="A10:F10"/>
    <mergeCell ref="A11:I11"/>
    <mergeCell ref="A12:L12"/>
    <mergeCell ref="J6:L6"/>
    <mergeCell ref="J7:L7"/>
    <mergeCell ref="G6:I6"/>
    <mergeCell ref="J16:L16"/>
    <mergeCell ref="D16:I16"/>
    <mergeCell ref="A16:C16"/>
    <mergeCell ref="G17:L17"/>
    <mergeCell ref="A17:F17"/>
    <mergeCell ref="A8:L8"/>
    <mergeCell ref="A13:L13"/>
    <mergeCell ref="A15:F15"/>
    <mergeCell ref="G15:L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中村 明博 a.n.</cp:lastModifiedBy>
  <cp:lastPrinted>2024-03-01T04:27:41Z</cp:lastPrinted>
  <dcterms:created xsi:type="dcterms:W3CDTF">2005-01-14T01:59:42Z</dcterms:created>
  <dcterms:modified xsi:type="dcterms:W3CDTF">2024-03-01T04:29:08Z</dcterms:modified>
  <cp:category/>
  <cp:version/>
  <cp:contentType/>
  <cp:contentStatus/>
</cp:coreProperties>
</file>